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now0.sharepoint.com/sites/WorkProgress/Shared Documents/Growth Funding/"/>
    </mc:Choice>
  </mc:AlternateContent>
  <xr:revisionPtr revIDLastSave="0" documentId="8_{D8819C6B-8D9A-4A28-AB60-3551C684DA11}" xr6:coauthVersionLast="47" xr6:coauthVersionMax="47" xr10:uidLastSave="{00000000-0000-0000-0000-000000000000}"/>
  <bookViews>
    <workbookView xWindow="-98" yWindow="-98" windowWidth="22695" windowHeight="14595" firstSheet="1" activeTab="1" xr2:uid="{C2A4D3D7-273C-41E3-94D2-73F43EE9B005}"/>
  </bookViews>
  <sheets>
    <sheet name="Basic Stats" sheetId="2" state="hidden" r:id="rId1"/>
    <sheet name="Growth Formula" sheetId="1" r:id="rId2"/>
    <sheet name="Projec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3" l="1"/>
  <c r="D5" i="3" s="1"/>
  <c r="E5" i="3" s="1"/>
  <c r="C15" i="3"/>
  <c r="C14" i="3"/>
  <c r="C13" i="3"/>
  <c r="K6" i="1"/>
  <c r="K7" i="1"/>
  <c r="C16" i="3" l="1"/>
  <c r="E15" i="3"/>
  <c r="E14" i="3"/>
  <c r="E13" i="3"/>
  <c r="E16" i="3" s="1"/>
  <c r="C21" i="1"/>
  <c r="C22" i="1"/>
  <c r="C20" i="1"/>
  <c r="B23" i="1"/>
  <c r="C8" i="2"/>
  <c r="E8" i="2"/>
  <c r="F8" i="2"/>
  <c r="B8" i="2"/>
  <c r="C16" i="2"/>
  <c r="F14" i="2"/>
  <c r="F16" i="2" s="1"/>
  <c r="E14" i="2"/>
  <c r="E16" i="2" s="1"/>
  <c r="C14" i="2"/>
  <c r="B14" i="2"/>
  <c r="B16" i="2" s="1"/>
  <c r="G13" i="2"/>
  <c r="D13" i="2"/>
  <c r="G12" i="2"/>
  <c r="D12" i="2"/>
  <c r="G11" i="2"/>
  <c r="D11" i="2"/>
  <c r="G4" i="2"/>
  <c r="G5" i="2"/>
  <c r="D4" i="2"/>
  <c r="D5" i="2"/>
  <c r="D3" i="2"/>
  <c r="G3" i="2"/>
  <c r="F6" i="2"/>
  <c r="E6" i="2"/>
  <c r="C6" i="2"/>
  <c r="B6" i="2"/>
  <c r="H15" i="1"/>
  <c r="H14" i="1"/>
  <c r="H13" i="1"/>
  <c r="J15" i="1"/>
  <c r="N15" i="1" s="1"/>
  <c r="E15" i="1"/>
  <c r="G15" i="1" s="1"/>
  <c r="E14" i="1"/>
  <c r="G14" i="1" s="1"/>
  <c r="E13" i="1"/>
  <c r="G13" i="1" s="1"/>
  <c r="E6" i="1"/>
  <c r="G6" i="1" s="1"/>
  <c r="L6" i="1" s="1"/>
  <c r="E7" i="1"/>
  <c r="G7" i="1" s="1"/>
  <c r="L7" i="1" s="1"/>
  <c r="E5" i="1"/>
  <c r="G5" i="1" s="1"/>
  <c r="C23" i="1" l="1"/>
  <c r="J21" i="1"/>
  <c r="J22" i="1" s="1"/>
  <c r="K15" i="1"/>
  <c r="M15" i="1" s="1"/>
  <c r="M7" i="1"/>
  <c r="G6" i="2"/>
  <c r="D14" i="2"/>
  <c r="G14" i="2"/>
  <c r="D6" i="2"/>
  <c r="L15" i="1" l="1"/>
  <c r="P6" i="1" l="1"/>
  <c r="K5" i="1"/>
  <c r="L5" i="1" s="1"/>
  <c r="P5" i="1" s="1"/>
  <c r="J14" i="1" l="1"/>
  <c r="N14" i="1" s="1"/>
  <c r="K14" i="1" l="1"/>
  <c r="L14" i="1" s="1"/>
  <c r="J13" i="1"/>
  <c r="N13" i="1" s="1"/>
  <c r="M14" i="1" l="1"/>
  <c r="K13" i="1"/>
  <c r="M13" i="1" s="1"/>
  <c r="L13" i="1" l="1"/>
  <c r="K19" i="1" l="1"/>
  <c r="L19" i="1" s="1"/>
  <c r="L20" i="1"/>
  <c r="L21" i="1"/>
  <c r="K22" i="1"/>
  <c r="M20" i="1" l="1"/>
  <c r="M22" i="1" s="1"/>
  <c r="C10" i="3"/>
  <c r="F14" i="3" s="1"/>
  <c r="H14" i="3" s="1"/>
  <c r="J14" i="3" s="1"/>
  <c r="L14" i="3" s="1"/>
  <c r="M19" i="1"/>
  <c r="C9" i="3"/>
  <c r="F13" i="3" s="1"/>
  <c r="M21" i="1"/>
  <c r="C11" i="3"/>
  <c r="F15" i="3" s="1"/>
  <c r="H15" i="3" s="1"/>
  <c r="J15" i="3" s="1"/>
  <c r="L15" i="3" s="1"/>
  <c r="L22" i="1"/>
  <c r="C8" i="3" s="1"/>
  <c r="H13" i="3" l="1"/>
  <c r="F16" i="3"/>
  <c r="F5" i="3" s="1"/>
  <c r="G5" i="3" s="1"/>
  <c r="G15" i="3" l="1"/>
  <c r="G13" i="3"/>
  <c r="G14" i="3"/>
  <c r="H16" i="3"/>
  <c r="H5" i="3" s="1"/>
  <c r="I5" i="3" s="1"/>
  <c r="J13" i="3"/>
  <c r="G16" i="3" l="1"/>
  <c r="I13" i="3"/>
  <c r="I14" i="3"/>
  <c r="I15" i="3"/>
  <c r="L13" i="3"/>
  <c r="L16" i="3" s="1"/>
  <c r="L5" i="3" s="1"/>
  <c r="J16" i="3"/>
  <c r="J5" i="3" s="1"/>
  <c r="K5" i="3" s="1"/>
  <c r="K14" i="3" l="1"/>
  <c r="K13" i="3"/>
  <c r="K15" i="3"/>
  <c r="I16" i="3"/>
  <c r="K16" i="3" l="1"/>
</calcChain>
</file>

<file path=xl/sharedStrings.xml><?xml version="1.0" encoding="utf-8"?>
<sst xmlns="http://schemas.openxmlformats.org/spreadsheetml/2006/main" count="129" uniqueCount="75">
  <si>
    <t>Snow College</t>
  </si>
  <si>
    <t>Vocational</t>
  </si>
  <si>
    <t>Lower</t>
  </si>
  <si>
    <t>Upper</t>
  </si>
  <si>
    <t>Spring 2019 EOT</t>
  </si>
  <si>
    <t>Summer 2019 EOT</t>
  </si>
  <si>
    <t>Fall 2019 EOT</t>
  </si>
  <si>
    <t>Calendar 2019 End of Term BR Res Annual FTE</t>
  </si>
  <si>
    <t>2022 Funded Adjustment</t>
  </si>
  <si>
    <t>Adjusted Baseline</t>
  </si>
  <si>
    <t>Calendar 2021 End of Term BR Res Annual FTE</t>
  </si>
  <si>
    <t>Adj Baseline to 2021 Change</t>
  </si>
  <si>
    <t>Spring 2022 Proj</t>
  </si>
  <si>
    <t>Summer 2022 Proj</t>
  </si>
  <si>
    <t>Fall 2022 Proj</t>
  </si>
  <si>
    <t>Retain ADJ</t>
  </si>
  <si>
    <t>FTE Change for Funding</t>
  </si>
  <si>
    <t>Fall 2021</t>
  </si>
  <si>
    <t>Make-up Diff</t>
  </si>
  <si>
    <t>Growth Funding Fall Recruitment Model based on Spring Retention Actuals</t>
  </si>
  <si>
    <t>Fall EOT 2018</t>
  </si>
  <si>
    <t>Spring EOT 2019</t>
  </si>
  <si>
    <t>Fall 2020</t>
  </si>
  <si>
    <t>Spring 2021</t>
  </si>
  <si>
    <t>Total</t>
  </si>
  <si>
    <t>Resident FTE</t>
  </si>
  <si>
    <t>Difference</t>
  </si>
  <si>
    <t>Non-Resident</t>
  </si>
  <si>
    <t>R/N Ratio</t>
  </si>
  <si>
    <t>Projected</t>
  </si>
  <si>
    <t>% PY Increase</t>
  </si>
  <si>
    <t>Ave Diff</t>
  </si>
  <si>
    <t>Baseline</t>
  </si>
  <si>
    <t>Uses F2S 3-year Resident FTE averages</t>
  </si>
  <si>
    <t>Growth</t>
  </si>
  <si>
    <t>Online</t>
  </si>
  <si>
    <t>Traditional</t>
  </si>
  <si>
    <t>Fall BR-R FTE</t>
  </si>
  <si>
    <t>Required FTE</t>
  </si>
  <si>
    <t>Strata</t>
  </si>
  <si>
    <t>Upper division FTE is not considered at this time</t>
  </si>
  <si>
    <t>Current</t>
  </si>
  <si>
    <t>Fall 2022</t>
  </si>
  <si>
    <t>Lower Division</t>
  </si>
  <si>
    <t>Fall 2021 as Fall 2022</t>
  </si>
  <si>
    <t>3rd Week</t>
  </si>
  <si>
    <t>Estimated</t>
  </si>
  <si>
    <t>Spring 2022</t>
  </si>
  <si>
    <t>Spring 2023</t>
  </si>
  <si>
    <t>Fall 2023</t>
  </si>
  <si>
    <t>Spring 2024</t>
  </si>
  <si>
    <t>Fall 2024</t>
  </si>
  <si>
    <t>Spring 2025</t>
  </si>
  <si>
    <t>Fall 2025</t>
  </si>
  <si>
    <t>Spring 2026</t>
  </si>
  <si>
    <t>Fall 2026</t>
  </si>
  <si>
    <t>Retain %</t>
  </si>
  <si>
    <t>Tech Ed Growth</t>
  </si>
  <si>
    <t>Driven by overall Growth Formula</t>
  </si>
  <si>
    <t>Online Growth</t>
  </si>
  <si>
    <t>Traditional Growth</t>
  </si>
  <si>
    <t xml:space="preserve">Spring 2025 </t>
  </si>
  <si>
    <t>Tech Ed</t>
  </si>
  <si>
    <t>Estimated BR-R FTE</t>
  </si>
  <si>
    <t>% of BR-R-Strata</t>
  </si>
  <si>
    <t>Overall Growth %</t>
  </si>
  <si>
    <t>Level 1:  Budget-Related, Resident FTE  Projections</t>
  </si>
  <si>
    <t>Year 1</t>
  </si>
  <si>
    <t>Year 2</t>
  </si>
  <si>
    <t>Year 3</t>
  </si>
  <si>
    <t>Year 4</t>
  </si>
  <si>
    <t>Year 5</t>
  </si>
  <si>
    <t>Growth Funding Spring and Fall  Retention Projections</t>
  </si>
  <si>
    <t>CLICK HERE TO GO TO 5-YEAR PROJECTIONS</t>
  </si>
  <si>
    <t>GO BACK TO MAIN GROWTH FUNDING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</si>
</sst>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0.00_);[Red]\(0.00\)"/>
    <numFmt numFmtId="167" formatCode="0.0"/>
    <numFmt numFmtId="168" formatCode="#,##0.0"/>
  </numFmts>
  <fonts count="14" x14ac:knownFonts="1">
    <font>
      <sz val="11"/>
      <color theme="1"/>
      <name val="Open Sans"/>
      <family val="2"/>
    </font>
    <font>
      <sz val="11"/>
      <color theme="1"/>
      <name val="Open Sans"/>
      <family val="2"/>
    </font>
    <font>
      <sz val="11"/>
      <color rgb="FFFF0000"/>
      <name val="Open Sans"/>
      <family val="2"/>
    </font>
    <font>
      <b/>
      <sz val="11"/>
      <color theme="1"/>
      <name val="Open Sans"/>
      <family val="2"/>
    </font>
    <font>
      <b/>
      <sz val="11"/>
      <name val="Open Sans"/>
      <family val="2"/>
    </font>
    <font>
      <b/>
      <sz val="11"/>
      <color rgb="FFFF0000"/>
      <name val="Open Sans"/>
      <family val="2"/>
    </font>
    <font>
      <sz val="11"/>
      <name val="Open Sans"/>
      <family val="2"/>
    </font>
    <font>
      <b/>
      <i/>
      <sz val="11"/>
      <color theme="1"/>
      <name val="Open Sans"/>
      <family val="2"/>
    </font>
    <font>
      <u/>
      <sz val="11"/>
      <color theme="10"/>
      <name val="Open Sans"/>
      <family val="2"/>
    </font>
    <font>
      <i/>
      <sz val="11"/>
      <color theme="1"/>
      <name val="Open Sans"/>
      <family val="2"/>
    </font>
    <font>
      <b/>
      <sz val="18"/>
      <color theme="1"/>
      <name val="Open Sans"/>
      <family val="2"/>
    </font>
    <font>
      <sz val="8"/>
      <name val="Open Sans"/>
      <family val="2"/>
    </font>
    <font>
      <b/>
      <sz val="20"/>
      <color theme="1"/>
      <name val="Open Sans"/>
      <family val="2"/>
    </font>
    <font>
      <b/>
      <u/>
      <sz val="11"/>
      <color theme="10"/>
      <name val="Open Sans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91">
    <xf numFmtId="0" fontId="0" fillId="0" borderId="0" xfId="0"/>
    <xf numFmtId="9" fontId="0" fillId="0" borderId="1" xfId="2" applyFont="1" applyBorder="1" applyAlignment="1">
      <alignment horizontal="center"/>
    </xf>
    <xf numFmtId="0" fontId="0" fillId="0" borderId="0" xfId="0" applyFont="1"/>
    <xf numFmtId="0" fontId="3" fillId="2" borderId="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/>
    <xf numFmtId="43" fontId="5" fillId="2" borderId="1" xfId="0" applyNumberFormat="1" applyFont="1" applyFill="1" applyBorder="1"/>
    <xf numFmtId="0" fontId="2" fillId="2" borderId="1" xfId="0" applyFont="1" applyFill="1" applyBorder="1"/>
    <xf numFmtId="43" fontId="6" fillId="2" borderId="1" xfId="0" applyNumberFormat="1" applyFont="1" applyFill="1" applyBorder="1"/>
    <xf numFmtId="43" fontId="6" fillId="2" borderId="1" xfId="1" applyFont="1" applyFill="1" applyBorder="1"/>
    <xf numFmtId="0" fontId="0" fillId="0" borderId="0" xfId="0" applyFont="1" applyAlignment="1">
      <alignment horizontal="center"/>
    </xf>
    <xf numFmtId="43" fontId="6" fillId="3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43" fontId="6" fillId="4" borderId="1" xfId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9" fontId="0" fillId="0" borderId="0" xfId="2" applyFont="1" applyAlignment="1">
      <alignment horizontal="center"/>
    </xf>
    <xf numFmtId="0" fontId="3" fillId="5" borderId="1" xfId="0" applyFont="1" applyFill="1" applyBorder="1"/>
    <xf numFmtId="0" fontId="3" fillId="5" borderId="0" xfId="0" applyFont="1" applyFill="1" applyBorder="1"/>
    <xf numFmtId="0" fontId="0" fillId="0" borderId="0" xfId="0" applyAlignment="1">
      <alignment horizontal="center"/>
    </xf>
    <xf numFmtId="0" fontId="3" fillId="5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3" fontId="5" fillId="3" borderId="1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6" borderId="1" xfId="0" applyFont="1" applyFill="1" applyBorder="1"/>
    <xf numFmtId="0" fontId="0" fillId="0" borderId="1" xfId="0" applyFont="1" applyBorder="1"/>
    <xf numFmtId="0" fontId="3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9" fontId="0" fillId="6" borderId="1" xfId="2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center"/>
    </xf>
    <xf numFmtId="166" fontId="0" fillId="7" borderId="1" xfId="0" applyNumberFormat="1" applyFont="1" applyFill="1" applyBorder="1" applyAlignment="1">
      <alignment horizontal="center" vertical="center"/>
    </xf>
    <xf numFmtId="164" fontId="6" fillId="3" borderId="5" xfId="1" applyNumberFormat="1" applyFont="1" applyFill="1" applyBorder="1" applyAlignment="1">
      <alignment horizontal="center"/>
    </xf>
    <xf numFmtId="43" fontId="6" fillId="3" borderId="5" xfId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4" fontId="3" fillId="8" borderId="1" xfId="1" applyNumberFormat="1" applyFont="1" applyFill="1" applyBorder="1" applyAlignment="1">
      <alignment horizontal="center"/>
    </xf>
    <xf numFmtId="2" fontId="3" fillId="8" borderId="1" xfId="0" applyNumberFormat="1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9" fontId="3" fillId="7" borderId="1" xfId="2" applyFont="1" applyFill="1" applyBorder="1" applyAlignment="1">
      <alignment horizontal="center"/>
    </xf>
    <xf numFmtId="167" fontId="0" fillId="0" borderId="1" xfId="0" applyNumberFormat="1" applyFont="1" applyBorder="1"/>
    <xf numFmtId="168" fontId="0" fillId="0" borderId="4" xfId="0" applyNumberFormat="1" applyBorder="1" applyAlignment="1">
      <alignment horizontal="center"/>
    </xf>
    <xf numFmtId="168" fontId="0" fillId="0" borderId="7" xfId="0" applyNumberFormat="1" applyBorder="1" applyAlignment="1">
      <alignment horizontal="center"/>
    </xf>
    <xf numFmtId="0" fontId="3" fillId="6" borderId="7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9" fontId="3" fillId="6" borderId="7" xfId="2" applyFont="1" applyFill="1" applyBorder="1" applyAlignment="1">
      <alignment horizontal="center"/>
    </xf>
    <xf numFmtId="0" fontId="3" fillId="3" borderId="7" xfId="0" applyFont="1" applyFill="1" applyBorder="1"/>
    <xf numFmtId="0" fontId="3" fillId="0" borderId="7" xfId="0" applyFont="1" applyBorder="1" applyAlignment="1">
      <alignment horizontal="center"/>
    </xf>
    <xf numFmtId="168" fontId="0" fillId="9" borderId="7" xfId="0" applyNumberFormat="1" applyFill="1" applyBorder="1" applyAlignment="1">
      <alignment horizontal="center"/>
    </xf>
    <xf numFmtId="0" fontId="3" fillId="9" borderId="7" xfId="0" applyFont="1" applyFill="1" applyBorder="1"/>
    <xf numFmtId="168" fontId="0" fillId="5" borderId="7" xfId="0" applyNumberFormat="1" applyFill="1" applyBorder="1" applyAlignment="1">
      <alignment horizontal="center"/>
    </xf>
    <xf numFmtId="168" fontId="3" fillId="3" borderId="7" xfId="0" applyNumberFormat="1" applyFont="1" applyFill="1" applyBorder="1" applyAlignment="1">
      <alignment horizontal="center"/>
    </xf>
    <xf numFmtId="0" fontId="3" fillId="10" borderId="7" xfId="0" applyFont="1" applyFill="1" applyBorder="1"/>
    <xf numFmtId="9" fontId="3" fillId="10" borderId="7" xfId="2" applyFont="1" applyFill="1" applyBorder="1" applyAlignment="1">
      <alignment horizontal="center"/>
    </xf>
    <xf numFmtId="0" fontId="3" fillId="11" borderId="7" xfId="0" applyFont="1" applyFill="1" applyBorder="1"/>
    <xf numFmtId="165" fontId="3" fillId="11" borderId="7" xfId="2" applyNumberFormat="1" applyFont="1" applyFill="1" applyBorder="1" applyAlignment="1">
      <alignment horizontal="center"/>
    </xf>
    <xf numFmtId="0" fontId="9" fillId="0" borderId="0" xfId="0" applyFont="1" applyFill="1" applyAlignment="1"/>
    <xf numFmtId="0" fontId="10" fillId="0" borderId="0" xfId="0" applyFont="1" applyAlignment="1">
      <alignment horizontal="left"/>
    </xf>
    <xf numFmtId="0" fontId="10" fillId="0" borderId="0" xfId="0" applyFont="1" applyAlignment="1"/>
    <xf numFmtId="0" fontId="3" fillId="2" borderId="1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2" fillId="0" borderId="9" xfId="0" applyFont="1" applyBorder="1" applyAlignment="1">
      <alignment horizontal="left"/>
    </xf>
    <xf numFmtId="0" fontId="13" fillId="4" borderId="1" xfId="3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13" fillId="4" borderId="0" xfId="3" applyFont="1" applyFill="1" applyAlignment="1">
      <alignment horizontal="center"/>
    </xf>
    <xf numFmtId="0" fontId="10" fillId="0" borderId="9" xfId="0" applyFont="1" applyBorder="1" applyAlignment="1">
      <alignment horizontal="left"/>
    </xf>
    <xf numFmtId="0" fontId="9" fillId="12" borderId="0" xfId="0" applyFont="1" applyFill="1" applyAlignment="1">
      <alignment horizontal="left"/>
    </xf>
    <xf numFmtId="0" fontId="3" fillId="5" borderId="7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left"/>
    </xf>
    <xf numFmtId="0" fontId="9" fillId="10" borderId="0" xfId="0" applyFont="1" applyFill="1" applyAlignment="1">
      <alignment horizontal="lef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1" defaultTableStyle="TableStyleMedium2" defaultPivotStyle="PivotStyleLight16">
    <tableStyle name="Invisible" pivot="0" table="0" count="0" xr9:uid="{3FA8DC29-25C0-4D11-9C61-1B06C64A3922}"/>
  </tableStyles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216273</xdr:colOff>
      <xdr:row>2</xdr:row>
      <xdr:rowOff>370914</xdr:rowOff>
    </xdr:from>
    <xdr:to>
      <xdr:col>7</xdr:col>
      <xdr:colOff>675715</xdr:colOff>
      <xdr:row>2</xdr:row>
      <xdr:rowOff>801220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8DFFA9B0-0F6A-430F-9F63-7AE562D71AC7}"/>
            </a:ext>
          </a:extLst>
        </xdr:cNvPr>
        <xdr:cNvSpPr/>
      </xdr:nvSpPr>
      <xdr:spPr>
        <a:xfrm>
          <a:off x="6064623" y="589989"/>
          <a:ext cx="459442" cy="430306"/>
        </a:xfrm>
        <a:prstGeom prst="ellipse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800" b="1"/>
            <a:t>B</a:t>
          </a:r>
        </a:p>
      </xdr:txBody>
    </xdr:sp>
    <xdr:clientData/>
  </xdr:twoCellAnchor>
  <xdr:twoCellAnchor>
    <xdr:from>
      <xdr:col>13</xdr:col>
      <xdr:colOff>255774</xdr:colOff>
      <xdr:row>2</xdr:row>
      <xdr:rowOff>701769</xdr:rowOff>
    </xdr:from>
    <xdr:to>
      <xdr:col>13</xdr:col>
      <xdr:colOff>715216</xdr:colOff>
      <xdr:row>2</xdr:row>
      <xdr:rowOff>1138798</xdr:rowOff>
    </xdr:to>
    <xdr:sp macro="" textlink="">
      <xdr:nvSpPr>
        <xdr:cNvPr id="13" name="Oval 2">
          <a:extLst>
            <a:ext uri="{FF2B5EF4-FFF2-40B4-BE49-F238E27FC236}">
              <a16:creationId xmlns:a16="http://schemas.microsoft.com/office/drawing/2014/main" id="{CECCD13A-F93F-41EC-BBD1-8766E355D116}"/>
            </a:ext>
          </a:extLst>
        </xdr:cNvPr>
        <xdr:cNvSpPr/>
      </xdr:nvSpPr>
      <xdr:spPr>
        <a:xfrm>
          <a:off x="10971399" y="906557"/>
          <a:ext cx="459442" cy="437029"/>
        </a:xfrm>
        <a:prstGeom prst="ellipse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A</a:t>
          </a:r>
        </a:p>
      </xdr:txBody>
    </xdr:sp>
    <xdr:clientData/>
  </xdr:twoCellAnchor>
  <xdr:twoCellAnchor>
    <xdr:from>
      <xdr:col>9</xdr:col>
      <xdr:colOff>224117</xdr:colOff>
      <xdr:row>10</xdr:row>
      <xdr:rowOff>268941</xdr:rowOff>
    </xdr:from>
    <xdr:to>
      <xdr:col>9</xdr:col>
      <xdr:colOff>683559</xdr:colOff>
      <xdr:row>10</xdr:row>
      <xdr:rowOff>705970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98A89F56-7AD3-4F6E-8D35-EF4C197381BC}"/>
            </a:ext>
          </a:extLst>
        </xdr:cNvPr>
        <xdr:cNvSpPr/>
      </xdr:nvSpPr>
      <xdr:spPr>
        <a:xfrm>
          <a:off x="7989793" y="3249706"/>
          <a:ext cx="459442" cy="437029"/>
        </a:xfrm>
        <a:prstGeom prst="ellipse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C</a:t>
          </a:r>
        </a:p>
      </xdr:txBody>
    </xdr:sp>
    <xdr:clientData/>
  </xdr:twoCellAnchor>
  <xdr:twoCellAnchor>
    <xdr:from>
      <xdr:col>0</xdr:col>
      <xdr:colOff>381000</xdr:colOff>
      <xdr:row>15</xdr:row>
      <xdr:rowOff>142875</xdr:rowOff>
    </xdr:from>
    <xdr:to>
      <xdr:col>0</xdr:col>
      <xdr:colOff>840442</xdr:colOff>
      <xdr:row>17</xdr:row>
      <xdr:rowOff>154081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31F6B437-2C23-4564-A9E4-5B31E114011C}"/>
            </a:ext>
          </a:extLst>
        </xdr:cNvPr>
        <xdr:cNvSpPr/>
      </xdr:nvSpPr>
      <xdr:spPr>
        <a:xfrm>
          <a:off x="381000" y="5191125"/>
          <a:ext cx="459442" cy="430306"/>
        </a:xfrm>
        <a:prstGeom prst="ellipse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B</a:t>
          </a:r>
        </a:p>
      </xdr:txBody>
    </xdr:sp>
    <xdr:clientData/>
  </xdr:twoCellAnchor>
  <xdr:twoCellAnchor>
    <xdr:from>
      <xdr:col>8</xdr:col>
      <xdr:colOff>321048</xdr:colOff>
      <xdr:row>15</xdr:row>
      <xdr:rowOff>151839</xdr:rowOff>
    </xdr:from>
    <xdr:to>
      <xdr:col>8</xdr:col>
      <xdr:colOff>780490</xdr:colOff>
      <xdr:row>17</xdr:row>
      <xdr:rowOff>163045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6E467070-625D-4880-A969-43238BBE4F30}"/>
            </a:ext>
          </a:extLst>
        </xdr:cNvPr>
        <xdr:cNvSpPr/>
      </xdr:nvSpPr>
      <xdr:spPr>
        <a:xfrm>
          <a:off x="7026648" y="5200089"/>
          <a:ext cx="459442" cy="430306"/>
        </a:xfrm>
        <a:prstGeom prst="ellipse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D</a:t>
          </a:r>
        </a:p>
      </xdr:txBody>
    </xdr:sp>
    <xdr:clientData/>
  </xdr:twoCellAnchor>
  <xdr:twoCellAnchor>
    <xdr:from>
      <xdr:col>0</xdr:col>
      <xdr:colOff>885825</xdr:colOff>
      <xdr:row>2</xdr:row>
      <xdr:rowOff>876300</xdr:rowOff>
    </xdr:from>
    <xdr:to>
      <xdr:col>7</xdr:col>
      <xdr:colOff>171450</xdr:colOff>
      <xdr:row>15</xdr:row>
      <xdr:rowOff>152400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49B24143-16DF-4279-A164-8AE0221A32F1}"/>
            </a:ext>
          </a:extLst>
        </xdr:cNvPr>
        <xdr:cNvCxnSpPr/>
      </xdr:nvCxnSpPr>
      <xdr:spPr>
        <a:xfrm flipV="1">
          <a:off x="885825" y="1095375"/>
          <a:ext cx="5133975" cy="4105275"/>
        </a:xfrm>
        <a:prstGeom prst="straightConnector1">
          <a:avLst/>
        </a:prstGeom>
        <a:ln>
          <a:solidFill>
            <a:srgbClr val="FF0000"/>
          </a:solidFill>
          <a:prstDash val="lgDash"/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7</xdr:row>
      <xdr:rowOff>180975</xdr:rowOff>
    </xdr:from>
    <xdr:to>
      <xdr:col>0</xdr:col>
      <xdr:colOff>821392</xdr:colOff>
      <xdr:row>9</xdr:row>
      <xdr:rowOff>192181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4D2DE1F0-1A60-474A-919F-CD22F30B3CA2}"/>
            </a:ext>
          </a:extLst>
        </xdr:cNvPr>
        <xdr:cNvSpPr/>
      </xdr:nvSpPr>
      <xdr:spPr>
        <a:xfrm>
          <a:off x="361950" y="1438275"/>
          <a:ext cx="459442" cy="430306"/>
        </a:xfrm>
        <a:prstGeom prst="ellipse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BE822-6762-4338-9D11-93720188A8B3}">
  <dimension ref="A2:G16"/>
  <sheetViews>
    <sheetView showGridLines="0" workbookViewId="0">
      <selection activeCell="E23" sqref="E23"/>
    </sheetView>
  </sheetViews>
  <sheetFormatPr defaultRowHeight="15.75" x14ac:dyDescent="0.55000000000000004"/>
  <cols>
    <col min="1" max="1" width="11.52734375" bestFit="1" customWidth="1"/>
    <col min="2" max="2" width="12.1171875" style="26" bestFit="1" customWidth="1"/>
    <col min="3" max="3" width="14.41015625" style="26" bestFit="1" customWidth="1"/>
    <col min="4" max="4" width="9.87890625" style="26" bestFit="1" customWidth="1"/>
    <col min="5" max="5" width="8.41015625" style="26" bestFit="1" customWidth="1"/>
    <col min="6" max="6" width="10.64453125" style="26" bestFit="1" customWidth="1"/>
    <col min="7" max="7" width="9.87890625" style="26" bestFit="1" customWidth="1"/>
  </cols>
  <sheetData>
    <row r="2" spans="1:7" x14ac:dyDescent="0.55000000000000004">
      <c r="A2" s="10" t="s">
        <v>25</v>
      </c>
      <c r="B2" s="27" t="s">
        <v>20</v>
      </c>
      <c r="C2" s="27" t="s">
        <v>21</v>
      </c>
      <c r="D2" s="27" t="s">
        <v>26</v>
      </c>
      <c r="E2" s="27" t="s">
        <v>22</v>
      </c>
      <c r="F2" s="27" t="s">
        <v>23</v>
      </c>
      <c r="G2" s="27" t="s">
        <v>26</v>
      </c>
    </row>
    <row r="3" spans="1:7" x14ac:dyDescent="0.55000000000000004">
      <c r="A3" s="24" t="s">
        <v>1</v>
      </c>
      <c r="B3" s="28">
        <v>692.81100000000004</v>
      </c>
      <c r="C3" s="28">
        <v>607.34400000000005</v>
      </c>
      <c r="D3" s="1">
        <f>(C3-B3)/B3</f>
        <v>-0.12336264868773732</v>
      </c>
      <c r="E3" s="28">
        <v>756</v>
      </c>
      <c r="F3" s="28">
        <v>687.17700000000002</v>
      </c>
      <c r="G3" s="1">
        <f>(F3-E3)/E3</f>
        <v>-9.1035714285714261E-2</v>
      </c>
    </row>
    <row r="4" spans="1:7" x14ac:dyDescent="0.55000000000000004">
      <c r="A4" s="24" t="s">
        <v>2</v>
      </c>
      <c r="B4" s="28">
        <v>2468.8000000000002</v>
      </c>
      <c r="C4" s="28">
        <v>2269.9299999999998</v>
      </c>
      <c r="D4" s="1">
        <f>(C4-B4)/B4</f>
        <v>-8.0553305249514068E-2</v>
      </c>
      <c r="E4" s="28">
        <v>2344.5300000000002</v>
      </c>
      <c r="F4" s="28">
        <v>2111.23</v>
      </c>
      <c r="G4" s="1">
        <f>(F4-E4)/E4</f>
        <v>-9.9508216998716231E-2</v>
      </c>
    </row>
    <row r="5" spans="1:7" x14ac:dyDescent="0.55000000000000004">
      <c r="A5" s="24" t="s">
        <v>3</v>
      </c>
      <c r="B5" s="28">
        <v>78.400000000000006</v>
      </c>
      <c r="C5" s="28">
        <v>73.06</v>
      </c>
      <c r="D5" s="1">
        <f>(C5-B5)/B5</f>
        <v>-6.8112244897959223E-2</v>
      </c>
      <c r="E5" s="28">
        <v>71.33</v>
      </c>
      <c r="F5" s="28">
        <v>59.4</v>
      </c>
      <c r="G5" s="1">
        <f>(F5-E5)/E5</f>
        <v>-0.16725080611243517</v>
      </c>
    </row>
    <row r="6" spans="1:7" x14ac:dyDescent="0.55000000000000004">
      <c r="A6" s="24" t="s">
        <v>24</v>
      </c>
      <c r="B6" s="28">
        <f>SUM(B3:B5)</f>
        <v>3240.0110000000004</v>
      </c>
      <c r="C6" s="28">
        <f>SUM(C3:C5)</f>
        <v>2950.3339999999998</v>
      </c>
      <c r="D6" s="1">
        <f>(C6-B6)/B6</f>
        <v>-8.9406177941988643E-2</v>
      </c>
      <c r="E6" s="28">
        <f>SUM(E3:E5)</f>
        <v>3171.86</v>
      </c>
      <c r="F6" s="28">
        <f>SUM(F3:F5)</f>
        <v>2857.8070000000002</v>
      </c>
      <c r="G6" s="1">
        <f>(F6-E6)/E6</f>
        <v>-9.9012251486509453E-2</v>
      </c>
    </row>
    <row r="8" spans="1:7" x14ac:dyDescent="0.55000000000000004">
      <c r="A8" s="25" t="s">
        <v>28</v>
      </c>
      <c r="B8" s="23">
        <f>B6/(B6+B14)</f>
        <v>0.89172070411568993</v>
      </c>
      <c r="C8" s="23">
        <f>C6/(C6+C14)</f>
        <v>0.89026802784805237</v>
      </c>
      <c r="D8" s="23"/>
      <c r="E8" s="23">
        <f>E6/(E6+E14)</f>
        <v>0.89643867517925335</v>
      </c>
      <c r="F8" s="23">
        <f>F6/(F6+F14)</f>
        <v>0.8924519634488447</v>
      </c>
      <c r="G8" s="23"/>
    </row>
    <row r="10" spans="1:7" x14ac:dyDescent="0.55000000000000004">
      <c r="A10" s="10" t="s">
        <v>27</v>
      </c>
      <c r="B10" s="27" t="s">
        <v>20</v>
      </c>
      <c r="C10" s="27" t="s">
        <v>21</v>
      </c>
      <c r="D10" s="27" t="s">
        <v>26</v>
      </c>
      <c r="E10" s="27" t="s">
        <v>22</v>
      </c>
      <c r="F10" s="27" t="s">
        <v>23</v>
      </c>
      <c r="G10" s="27" t="s">
        <v>26</v>
      </c>
    </row>
    <row r="11" spans="1:7" x14ac:dyDescent="0.55000000000000004">
      <c r="A11" s="24" t="s">
        <v>1</v>
      </c>
      <c r="B11" s="28">
        <v>61.26</v>
      </c>
      <c r="C11" s="28">
        <v>52.93</v>
      </c>
      <c r="D11" s="1">
        <f>(C11-B11)/B11</f>
        <v>-0.13597779954293174</v>
      </c>
      <c r="E11" s="28">
        <v>63.8</v>
      </c>
      <c r="F11" s="28">
        <v>55.46</v>
      </c>
      <c r="G11" s="1">
        <f>(F11-E11)/E11</f>
        <v>-0.13072100313479618</v>
      </c>
    </row>
    <row r="12" spans="1:7" x14ac:dyDescent="0.55000000000000004">
      <c r="A12" s="24" t="s">
        <v>2</v>
      </c>
      <c r="B12" s="28">
        <v>328.3</v>
      </c>
      <c r="C12" s="28">
        <v>306.26</v>
      </c>
      <c r="D12" s="1">
        <f>(C12-B12)/B12</f>
        <v>-6.7133719159305577E-2</v>
      </c>
      <c r="E12" s="28">
        <v>292.10000000000002</v>
      </c>
      <c r="F12" s="28">
        <v>279.2</v>
      </c>
      <c r="G12" s="1">
        <f>(F12-E12)/E12</f>
        <v>-4.4162957891133288E-2</v>
      </c>
    </row>
    <row r="13" spans="1:7" x14ac:dyDescent="0.55000000000000004">
      <c r="A13" s="24" t="s">
        <v>3</v>
      </c>
      <c r="B13" s="28">
        <v>3.8660000000000001</v>
      </c>
      <c r="C13" s="28">
        <v>4.46</v>
      </c>
      <c r="D13" s="1">
        <f>(C13-B13)/B13</f>
        <v>0.15364718054837037</v>
      </c>
      <c r="E13" s="28">
        <v>10.53</v>
      </c>
      <c r="F13" s="28">
        <v>9.73</v>
      </c>
      <c r="G13" s="1">
        <f>(F13-E13)/E13</f>
        <v>-7.597340930674254E-2</v>
      </c>
    </row>
    <row r="14" spans="1:7" x14ac:dyDescent="0.55000000000000004">
      <c r="A14" s="24" t="s">
        <v>24</v>
      </c>
      <c r="B14" s="28">
        <f>SUM(B11:B13)</f>
        <v>393.42599999999999</v>
      </c>
      <c r="C14" s="28">
        <f>SUM(C11:C13)</f>
        <v>363.65</v>
      </c>
      <c r="D14" s="1">
        <f>(C14-B14)/B14</f>
        <v>-7.568386430993379E-2</v>
      </c>
      <c r="E14" s="28">
        <f>SUM(E11:E13)</f>
        <v>366.43</v>
      </c>
      <c r="F14" s="28">
        <f>SUM(F11:F13)</f>
        <v>344.39</v>
      </c>
      <c r="G14" s="1">
        <f>(F14-E14)/E14</f>
        <v>-6.0147913653358129E-2</v>
      </c>
    </row>
    <row r="16" spans="1:7" x14ac:dyDescent="0.55000000000000004">
      <c r="A16" s="25" t="s">
        <v>28</v>
      </c>
      <c r="B16" s="23">
        <f>B14/(B14+B6)</f>
        <v>0.10827929588431008</v>
      </c>
      <c r="C16" s="23">
        <f>C14/(C14+C6)</f>
        <v>0.10973197215194762</v>
      </c>
      <c r="D16" s="23"/>
      <c r="E16" s="23">
        <f>E14/(E14+E6)</f>
        <v>0.10356132482074674</v>
      </c>
      <c r="F16" s="23">
        <f>F14/(F14+F6)</f>
        <v>0.10754803655115534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7A5BA-B5AC-4E9C-8DF4-C28ABDE795C2}">
  <dimension ref="A1:P25"/>
  <sheetViews>
    <sheetView tabSelected="1" zoomScaleNormal="100" workbookViewId="0">
      <selection activeCell="H5" sqref="H5"/>
    </sheetView>
  </sheetViews>
  <sheetFormatPr defaultColWidth="8.87890625" defaultRowHeight="15.75" x14ac:dyDescent="0.55000000000000004"/>
  <cols>
    <col min="1" max="1" width="12" style="2" bestFit="1" customWidth="1"/>
    <col min="2" max="5" width="9" style="2" bestFit="1" customWidth="1"/>
    <col min="6" max="6" width="11.41015625" style="2" customWidth="1"/>
    <col min="7" max="7" width="8.76171875" style="2" bestFit="1" customWidth="1"/>
    <col min="8" max="8" width="10" style="15" customWidth="1"/>
    <col min="9" max="9" width="12.1171875" style="15" bestFit="1" customWidth="1"/>
    <col min="10" max="10" width="11.52734375" style="15" bestFit="1" customWidth="1"/>
    <col min="11" max="11" width="10.234375" style="15" bestFit="1" customWidth="1"/>
    <col min="12" max="12" width="8.52734375" style="15" bestFit="1" customWidth="1"/>
    <col min="13" max="13" width="11.76171875" style="15" bestFit="1" customWidth="1"/>
    <col min="14" max="14" width="12.52734375" style="15" bestFit="1" customWidth="1"/>
    <col min="15" max="15" width="8.87890625" style="2"/>
    <col min="16" max="16" width="11.76171875" style="2" bestFit="1" customWidth="1"/>
    <col min="17" max="17" width="12" style="2" bestFit="1" customWidth="1"/>
    <col min="18" max="16384" width="8.87890625" style="2"/>
  </cols>
  <sheetData>
    <row r="1" spans="1:16" ht="29.65" thickBot="1" x14ac:dyDescent="1.1000000000000001">
      <c r="A1" s="77" t="s">
        <v>72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ht="29.65" thickTop="1" x14ac:dyDescent="1.0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6" ht="94.5" x14ac:dyDescent="0.55000000000000004">
      <c r="B3" s="72" t="s">
        <v>4</v>
      </c>
      <c r="C3" s="73" t="s">
        <v>5</v>
      </c>
      <c r="D3" s="73" t="s">
        <v>6</v>
      </c>
      <c r="E3" s="74" t="s">
        <v>7</v>
      </c>
      <c r="F3" s="74" t="s">
        <v>8</v>
      </c>
      <c r="G3" s="74" t="s">
        <v>9</v>
      </c>
      <c r="H3" s="6" t="s">
        <v>12</v>
      </c>
      <c r="I3" s="6" t="s">
        <v>13</v>
      </c>
      <c r="J3" s="6" t="s">
        <v>44</v>
      </c>
      <c r="K3" s="75" t="s">
        <v>10</v>
      </c>
      <c r="L3" s="76" t="s">
        <v>11</v>
      </c>
      <c r="M3" s="76" t="s">
        <v>16</v>
      </c>
      <c r="N3" s="2"/>
    </row>
    <row r="4" spans="1:16" x14ac:dyDescent="0.55000000000000004">
      <c r="A4" s="10" t="s">
        <v>0</v>
      </c>
      <c r="B4" s="11"/>
      <c r="C4" s="11"/>
      <c r="D4" s="11"/>
      <c r="E4" s="12"/>
      <c r="F4" s="12"/>
      <c r="G4" s="12"/>
      <c r="H4" s="29" t="s">
        <v>15</v>
      </c>
      <c r="I4" s="16"/>
      <c r="J4" s="16"/>
      <c r="K4" s="17"/>
      <c r="L4" s="18"/>
      <c r="M4" s="19"/>
      <c r="N4" s="44" t="s">
        <v>32</v>
      </c>
      <c r="O4" s="22" t="s">
        <v>17</v>
      </c>
      <c r="P4" s="39" t="s">
        <v>18</v>
      </c>
    </row>
    <row r="5" spans="1:16" x14ac:dyDescent="0.55000000000000004">
      <c r="A5" s="2" t="s">
        <v>1</v>
      </c>
      <c r="B5" s="13">
        <v>607.34444444443886</v>
      </c>
      <c r="C5" s="13">
        <v>62.79999999999967</v>
      </c>
      <c r="D5" s="13">
        <v>755.99999999999238</v>
      </c>
      <c r="E5" s="14">
        <f>AVERAGE(D5,B5)+(C5/2)</f>
        <v>713.07222222221549</v>
      </c>
      <c r="F5" s="14">
        <v>0</v>
      </c>
      <c r="G5" s="14">
        <f>+F5+E5</f>
        <v>713.07222222221549</v>
      </c>
      <c r="H5" s="45">
        <v>812.5</v>
      </c>
      <c r="I5" s="20">
        <v>66.33</v>
      </c>
      <c r="J5" s="20">
        <v>812.53</v>
      </c>
      <c r="K5" s="20">
        <f>AVERAGE(J5,H5)+(I5/2)</f>
        <v>845.68</v>
      </c>
      <c r="L5" s="21">
        <f>ABS(K5-G5)</f>
        <v>132.60777777778446</v>
      </c>
      <c r="M5" s="19">
        <v>100</v>
      </c>
      <c r="N5" s="44">
        <v>747.5</v>
      </c>
      <c r="O5" s="42">
        <v>812.5</v>
      </c>
      <c r="P5" s="41">
        <f>(100-L5)*2.1</f>
        <v>-68.47633333334737</v>
      </c>
    </row>
    <row r="6" spans="1:16" x14ac:dyDescent="0.55000000000000004">
      <c r="A6" s="2" t="s">
        <v>2</v>
      </c>
      <c r="B6" s="13">
        <v>2269.9333333332929</v>
      </c>
      <c r="C6" s="13">
        <v>148.06666666666399</v>
      </c>
      <c r="D6" s="13">
        <v>2344.5333333332901</v>
      </c>
      <c r="E6" s="14">
        <f>AVERAGE(D6,B6)+(C6/2)</f>
        <v>2381.2666666666237</v>
      </c>
      <c r="F6" s="14">
        <v>0</v>
      </c>
      <c r="G6" s="14">
        <f>+F6+E6</f>
        <v>2381.2666666666237</v>
      </c>
      <c r="H6" s="45">
        <v>2100</v>
      </c>
      <c r="I6" s="20">
        <v>176.13300000000001</v>
      </c>
      <c r="J6" s="20">
        <v>2481.3000000000002</v>
      </c>
      <c r="K6" s="20">
        <f t="shared" ref="K6:K7" si="0">AVERAGE(J6,H6)+(I6/2)</f>
        <v>2378.7165</v>
      </c>
      <c r="L6" s="21">
        <f t="shared" ref="L6:L7" si="1">ABS(K6-G6)</f>
        <v>2.5501666666236815</v>
      </c>
      <c r="M6" s="19">
        <v>100</v>
      </c>
      <c r="N6" s="44">
        <v>2307.61</v>
      </c>
      <c r="O6" s="43">
        <v>2481.3000000000002</v>
      </c>
      <c r="P6" s="41">
        <f>(100-L6)*2</f>
        <v>194.89966666675264</v>
      </c>
    </row>
    <row r="7" spans="1:16" x14ac:dyDescent="0.55000000000000004">
      <c r="A7" s="2" t="s">
        <v>3</v>
      </c>
      <c r="B7" s="13">
        <v>73.066666666664403</v>
      </c>
      <c r="C7" s="13">
        <v>4.0666666666666602</v>
      </c>
      <c r="D7" s="13">
        <v>71.333333333330899</v>
      </c>
      <c r="E7" s="14">
        <f>AVERAGE(D7,B7)+(C7/2)</f>
        <v>74.233333333330989</v>
      </c>
      <c r="F7" s="14">
        <v>0</v>
      </c>
      <c r="G7" s="14">
        <f>+F7+E7</f>
        <v>74.233333333330989</v>
      </c>
      <c r="H7" s="45">
        <v>71.2</v>
      </c>
      <c r="I7" s="20">
        <v>0</v>
      </c>
      <c r="J7" s="20">
        <v>71.2</v>
      </c>
      <c r="K7" s="20">
        <f t="shared" si="0"/>
        <v>71.2</v>
      </c>
      <c r="L7" s="21">
        <f t="shared" si="1"/>
        <v>3.0333333333309866</v>
      </c>
      <c r="M7" s="19">
        <f>IF(ROUNDDOWN(K7-G7,-2)&lt;=0,0,ROUNDDOWN(K7-G7,-2))</f>
        <v>0</v>
      </c>
      <c r="N7" s="44">
        <v>71.2</v>
      </c>
      <c r="O7" s="15"/>
      <c r="P7" s="15"/>
    </row>
    <row r="8" spans="1:16" x14ac:dyDescent="0.55000000000000004">
      <c r="H8" s="30" t="s">
        <v>32</v>
      </c>
    </row>
    <row r="10" spans="1:16" ht="16.149999999999999" thickBot="1" x14ac:dyDescent="0.6">
      <c r="A10" s="79" t="s">
        <v>19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6" ht="94.5" x14ac:dyDescent="0.55000000000000004">
      <c r="B11" s="3" t="s">
        <v>4</v>
      </c>
      <c r="C11" s="4" t="s">
        <v>5</v>
      </c>
      <c r="D11" s="4" t="s">
        <v>6</v>
      </c>
      <c r="E11" s="5" t="s">
        <v>7</v>
      </c>
      <c r="F11" s="5" t="s">
        <v>8</v>
      </c>
      <c r="G11" s="5" t="s">
        <v>9</v>
      </c>
      <c r="H11" s="6" t="s">
        <v>12</v>
      </c>
      <c r="I11" s="7" t="s">
        <v>13</v>
      </c>
      <c r="J11" s="7" t="s">
        <v>14</v>
      </c>
      <c r="K11" s="8" t="s">
        <v>10</v>
      </c>
      <c r="L11" s="9" t="s">
        <v>11</v>
      </c>
      <c r="M11" s="9" t="s">
        <v>16</v>
      </c>
    </row>
    <row r="12" spans="1:16" x14ac:dyDescent="0.55000000000000004">
      <c r="A12" s="10" t="s">
        <v>0</v>
      </c>
      <c r="B12" s="11"/>
      <c r="C12" s="11"/>
      <c r="D12" s="11"/>
      <c r="E12" s="12"/>
      <c r="F12" s="12"/>
      <c r="G12" s="12"/>
      <c r="H12" s="29" t="s">
        <v>15</v>
      </c>
      <c r="I12" s="16"/>
      <c r="J12" s="16"/>
      <c r="K12" s="17"/>
      <c r="L12" s="18"/>
      <c r="M12" s="19"/>
      <c r="N12" s="40" t="s">
        <v>30</v>
      </c>
    </row>
    <row r="13" spans="1:16" x14ac:dyDescent="0.55000000000000004">
      <c r="A13" s="2" t="s">
        <v>1</v>
      </c>
      <c r="B13" s="13">
        <v>607.34444444443886</v>
      </c>
      <c r="C13" s="13">
        <v>62.79999999999967</v>
      </c>
      <c r="D13" s="13">
        <v>755.99999999999238</v>
      </c>
      <c r="E13" s="14">
        <f>AVERAGE(D13,B13)+(C13/2)</f>
        <v>713.07222222221549</v>
      </c>
      <c r="F13" s="14">
        <v>0</v>
      </c>
      <c r="G13" s="14">
        <f>+F13+E13</f>
        <v>713.07222222221549</v>
      </c>
      <c r="H13" s="20">
        <f>H5</f>
        <v>812.5</v>
      </c>
      <c r="I13" s="20">
        <v>66.33</v>
      </c>
      <c r="J13" s="45">
        <f>IF(H5&lt;747.5,(812.5+P5),O5 )</f>
        <v>812.5</v>
      </c>
      <c r="K13" s="20">
        <f>AVERAGE(J13,H13)+(I13/2)</f>
        <v>845.66499999999996</v>
      </c>
      <c r="L13" s="21">
        <f>+K13-G13</f>
        <v>132.59277777778448</v>
      </c>
      <c r="M13" s="19">
        <f>IF(ROUNDDOWN(K13-G13,-2)&lt;=0,0,ROUNDDOWN(K13-G13,-2))</f>
        <v>100</v>
      </c>
      <c r="N13" s="49">
        <f>ABS((J13-J5)/J13)</f>
        <v>3.6923076923043339E-5</v>
      </c>
    </row>
    <row r="14" spans="1:16" x14ac:dyDescent="0.55000000000000004">
      <c r="A14" s="2" t="s">
        <v>2</v>
      </c>
      <c r="B14" s="13">
        <v>2269.9333333332929</v>
      </c>
      <c r="C14" s="13">
        <v>148.06666666666399</v>
      </c>
      <c r="D14" s="13">
        <v>2344.5333333332901</v>
      </c>
      <c r="E14" s="14">
        <f>AVERAGE(D14,B14)+(C14/2)</f>
        <v>2381.2666666666237</v>
      </c>
      <c r="F14" s="14">
        <v>0</v>
      </c>
      <c r="G14" s="14">
        <f>+F14+E14</f>
        <v>2381.2666666666237</v>
      </c>
      <c r="H14" s="20">
        <f>H6</f>
        <v>2100</v>
      </c>
      <c r="I14" s="20">
        <v>176.13300000000001</v>
      </c>
      <c r="J14" s="45">
        <f>IF(H6&lt;2307.61,(2481.3+P6),O6 )</f>
        <v>2676.1996666667528</v>
      </c>
      <c r="K14" s="20">
        <f>AVERAGE(J14,H14)+(I14/2)</f>
        <v>2476.1663333333763</v>
      </c>
      <c r="L14" s="21">
        <f>+K14-G14</f>
        <v>94.899666666752637</v>
      </c>
      <c r="M14" s="19">
        <f>IF(ROUNDDOWN(K14-G14,-2)&lt;=0,0,ROUNDDOWN(K14-G14,-2))</f>
        <v>0</v>
      </c>
      <c r="N14" s="49">
        <f>ABS((J14-J6)/J14)</f>
        <v>7.2827027480166728E-2</v>
      </c>
    </row>
    <row r="15" spans="1:16" x14ac:dyDescent="0.55000000000000004">
      <c r="A15" s="2" t="s">
        <v>3</v>
      </c>
      <c r="B15" s="13">
        <v>73.066666666664403</v>
      </c>
      <c r="C15" s="13">
        <v>4.0666666666666602</v>
      </c>
      <c r="D15" s="13">
        <v>71.333333333330899</v>
      </c>
      <c r="E15" s="14">
        <f>AVERAGE(D15,B15)+(C15/2)</f>
        <v>74.233333333330989</v>
      </c>
      <c r="F15" s="14">
        <v>0</v>
      </c>
      <c r="G15" s="14">
        <f>+F15+E15</f>
        <v>74.233333333330989</v>
      </c>
      <c r="H15" s="20">
        <f>H7</f>
        <v>71.2</v>
      </c>
      <c r="I15" s="20">
        <v>0</v>
      </c>
      <c r="J15" s="45">
        <f>J7</f>
        <v>71.2</v>
      </c>
      <c r="K15" s="20">
        <f>AVERAGE(J15,H15)+(I15/2)</f>
        <v>71.2</v>
      </c>
      <c r="L15" s="21">
        <f>+K15-G15</f>
        <v>-3.0333333333309866</v>
      </c>
      <c r="M15" s="19">
        <f>IF(ROUNDDOWN(K15-G15,-2)&lt;=0,0,ROUNDDOWN(K15-G15,-2))</f>
        <v>0</v>
      </c>
      <c r="N15" s="49">
        <f>ABS((J15-J7)/J15)</f>
        <v>0</v>
      </c>
    </row>
    <row r="16" spans="1:16" x14ac:dyDescent="0.55000000000000004">
      <c r="J16" s="48"/>
    </row>
    <row r="17" spans="1:14" x14ac:dyDescent="0.55000000000000004">
      <c r="J17" s="30" t="s">
        <v>41</v>
      </c>
      <c r="M17" s="30" t="s">
        <v>42</v>
      </c>
    </row>
    <row r="18" spans="1:14" x14ac:dyDescent="0.55000000000000004">
      <c r="J18" s="33" t="s">
        <v>37</v>
      </c>
      <c r="K18" s="33" t="s">
        <v>39</v>
      </c>
      <c r="L18" s="33" t="s">
        <v>34</v>
      </c>
      <c r="M18" s="33" t="s">
        <v>38</v>
      </c>
      <c r="N18" s="2"/>
    </row>
    <row r="19" spans="1:14" x14ac:dyDescent="0.55000000000000004">
      <c r="A19" s="31" t="s">
        <v>0</v>
      </c>
      <c r="B19" s="33" t="s">
        <v>17</v>
      </c>
      <c r="C19" s="33" t="s">
        <v>29</v>
      </c>
      <c r="D19" s="31" t="s">
        <v>31</v>
      </c>
      <c r="I19" s="34" t="s">
        <v>62</v>
      </c>
      <c r="J19" s="37">
        <v>812.53</v>
      </c>
      <c r="K19" s="1">
        <f>J19/$J$22</f>
        <v>0.24146508172362555</v>
      </c>
      <c r="L19" s="1">
        <f>IF($N$14&lt;=0.02,K19*0.02,K19*$N$14)</f>
        <v>1.7585184142187182E-2</v>
      </c>
      <c r="M19" s="46">
        <f>J19+(J19*L19)</f>
        <v>826.81848967105134</v>
      </c>
      <c r="N19" s="37" t="s">
        <v>1</v>
      </c>
    </row>
    <row r="20" spans="1:14" x14ac:dyDescent="0.55000000000000004">
      <c r="A20" s="32" t="s">
        <v>1</v>
      </c>
      <c r="B20" s="32">
        <v>812.5</v>
      </c>
      <c r="C20" s="50">
        <f>B20+(B20*D20)</f>
        <v>731.25</v>
      </c>
      <c r="D20" s="1">
        <v>-0.1</v>
      </c>
      <c r="I20" s="34" t="s">
        <v>35</v>
      </c>
      <c r="J20" s="37">
        <v>46.7</v>
      </c>
      <c r="K20" s="1">
        <v>0.01</v>
      </c>
      <c r="L20" s="35">
        <f t="shared" ref="L20:L21" si="2">IF($N$14&lt;=0.02,K20*0.02,K20*$N$14)</f>
        <v>7.2827027480166725E-4</v>
      </c>
      <c r="M20" s="46">
        <f t="shared" ref="M20:M21" si="3">J20+(J20*L20)</f>
        <v>46.734010221833238</v>
      </c>
      <c r="N20" s="82" t="s">
        <v>43</v>
      </c>
    </row>
    <row r="21" spans="1:14" x14ac:dyDescent="0.55000000000000004">
      <c r="A21" s="32" t="s">
        <v>2</v>
      </c>
      <c r="B21" s="32">
        <v>2481.3000000000002</v>
      </c>
      <c r="C21" s="50">
        <f>B21+(B21*D21)</f>
        <v>2257.9830000000002</v>
      </c>
      <c r="D21" s="1">
        <v>-0.09</v>
      </c>
      <c r="I21" s="34" t="s">
        <v>36</v>
      </c>
      <c r="J21" s="37">
        <f>B23-(J19+J20)</f>
        <v>2505.77</v>
      </c>
      <c r="K21" s="1">
        <v>0.75</v>
      </c>
      <c r="L21" s="1">
        <f t="shared" si="2"/>
        <v>5.4620270610125046E-2</v>
      </c>
      <c r="M21" s="46">
        <f t="shared" si="3"/>
        <v>2642.635835486733</v>
      </c>
      <c r="N21" s="82"/>
    </row>
    <row r="22" spans="1:14" x14ac:dyDescent="0.55000000000000004">
      <c r="A22" s="32" t="s">
        <v>3</v>
      </c>
      <c r="B22" s="32">
        <v>71.2</v>
      </c>
      <c r="C22" s="50">
        <f>B22+(B22*D22)</f>
        <v>66.216000000000008</v>
      </c>
      <c r="D22" s="1">
        <v>-7.0000000000000007E-2</v>
      </c>
      <c r="J22" s="38">
        <f>SUM(J19:J21)</f>
        <v>3365</v>
      </c>
      <c r="K22" s="36">
        <f>J22/$J$22</f>
        <v>1</v>
      </c>
      <c r="L22" s="49">
        <f>SUM(L19:L21)</f>
        <v>7.2933725027113899E-2</v>
      </c>
      <c r="M22" s="47">
        <f>SUM(M19:M21)</f>
        <v>3516.1883353796175</v>
      </c>
      <c r="N22" s="2"/>
    </row>
    <row r="23" spans="1:14" x14ac:dyDescent="0.55000000000000004">
      <c r="A23" s="32"/>
      <c r="B23" s="32">
        <f>SUM(B20:B22)</f>
        <v>3365</v>
      </c>
      <c r="C23" s="50">
        <f>B23+(B23*D23)</f>
        <v>3028.5</v>
      </c>
      <c r="D23" s="1">
        <v>-0.1</v>
      </c>
      <c r="J23" s="81" t="s">
        <v>40</v>
      </c>
      <c r="K23" s="81"/>
      <c r="L23" s="81"/>
      <c r="M23" s="81"/>
    </row>
    <row r="24" spans="1:14" x14ac:dyDescent="0.55000000000000004">
      <c r="A24" s="80" t="s">
        <v>33</v>
      </c>
      <c r="B24" s="80"/>
      <c r="C24" s="80"/>
      <c r="D24" s="80"/>
    </row>
    <row r="25" spans="1:14" x14ac:dyDescent="0.55000000000000004">
      <c r="I25" s="78" t="s">
        <v>73</v>
      </c>
      <c r="J25" s="78"/>
      <c r="K25" s="78"/>
      <c r="L25" s="78"/>
      <c r="M25" s="78"/>
      <c r="N25" s="78"/>
    </row>
  </sheetData>
  <mergeCells count="7">
    <mergeCell ref="A1:P1"/>
    <mergeCell ref="I25:N25"/>
    <mergeCell ref="A10:M10"/>
    <mergeCell ref="A24:D24"/>
    <mergeCell ref="J23:M23"/>
    <mergeCell ref="N20:N21"/>
    <mergeCell ref="A2:P2"/>
  </mergeCells>
  <hyperlinks>
    <hyperlink ref="I25:N25" location="Projections!A1" display="CLICK HERE TO GO TO 5-YEAR PROJECTIONS" xr:uid="{2DDC8F06-8D87-43B5-ACF2-4DC6FFCD2C88}"/>
  </hyperlink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E9B71-E2B3-48FD-B785-B718FBE03C46}">
  <dimension ref="A1:P22"/>
  <sheetViews>
    <sheetView showGridLines="0" workbookViewId="0">
      <selection sqref="A1:M1"/>
    </sheetView>
  </sheetViews>
  <sheetFormatPr defaultRowHeight="15.75" x14ac:dyDescent="0.55000000000000004"/>
  <cols>
    <col min="1" max="1" width="10.3515625" bestFit="1" customWidth="1"/>
    <col min="2" max="2" width="17.3515625" bestFit="1" customWidth="1"/>
    <col min="3" max="3" width="10.64453125" bestFit="1" customWidth="1"/>
    <col min="4" max="4" width="8.41015625" bestFit="1" customWidth="1"/>
    <col min="5" max="5" width="10.64453125" bestFit="1" customWidth="1"/>
    <col min="6" max="6" width="8.41015625" bestFit="1" customWidth="1"/>
    <col min="7" max="7" width="10.64453125" bestFit="1" customWidth="1"/>
    <col min="8" max="8" width="8.41015625" bestFit="1" customWidth="1"/>
    <col min="9" max="9" width="11.1171875" bestFit="1" customWidth="1"/>
    <col min="10" max="10" width="8.41015625" bestFit="1" customWidth="1"/>
    <col min="11" max="11" width="10.64453125" bestFit="1" customWidth="1"/>
    <col min="12" max="12" width="8.41015625" bestFit="1" customWidth="1"/>
    <col min="13" max="13" width="13.41015625" bestFit="1" customWidth="1"/>
  </cols>
  <sheetData>
    <row r="1" spans="1:16" ht="26.25" thickBot="1" x14ac:dyDescent="0.95">
      <c r="A1" s="86" t="s">
        <v>66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71"/>
      <c r="O1" s="71"/>
      <c r="P1" s="71"/>
    </row>
    <row r="2" spans="1:16" ht="12.75" customHeight="1" thickTop="1" x14ac:dyDescent="0.9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6" x14ac:dyDescent="0.55000000000000004">
      <c r="B3" s="54" t="s">
        <v>45</v>
      </c>
      <c r="C3" s="54" t="s">
        <v>46</v>
      </c>
      <c r="D3" s="26"/>
      <c r="E3" s="26"/>
      <c r="F3" s="26"/>
      <c r="G3" s="26"/>
      <c r="H3" s="26"/>
      <c r="I3" s="26"/>
      <c r="J3" s="26"/>
      <c r="K3" s="26"/>
      <c r="L3" s="26"/>
    </row>
    <row r="4" spans="1:16" x14ac:dyDescent="0.55000000000000004">
      <c r="B4" s="54" t="s">
        <v>17</v>
      </c>
      <c r="C4" s="55" t="s">
        <v>47</v>
      </c>
      <c r="D4" s="56" t="s">
        <v>42</v>
      </c>
      <c r="E4" s="56" t="s">
        <v>48</v>
      </c>
      <c r="F4" s="56" t="s">
        <v>49</v>
      </c>
      <c r="G4" s="56" t="s">
        <v>50</v>
      </c>
      <c r="H4" s="56" t="s">
        <v>51</v>
      </c>
      <c r="I4" s="56" t="s">
        <v>52</v>
      </c>
      <c r="J4" s="56" t="s">
        <v>53</v>
      </c>
      <c r="K4" s="56" t="s">
        <v>54</v>
      </c>
      <c r="L4" s="56" t="s">
        <v>55</v>
      </c>
    </row>
    <row r="5" spans="1:16" x14ac:dyDescent="0.55000000000000004">
      <c r="B5" s="57">
        <v>3365</v>
      </c>
      <c r="C5" s="51">
        <v>3028.5</v>
      </c>
      <c r="D5" s="52">
        <f>D16</f>
        <v>3406.5200000000004</v>
      </c>
      <c r="E5" s="52">
        <f>D5+(D5*$C$7)</f>
        <v>3065.8680000000004</v>
      </c>
      <c r="F5" s="52">
        <f>F16</f>
        <v>3559.8304525563926</v>
      </c>
      <c r="G5" s="52">
        <f>F5+(F5*C7)</f>
        <v>3203.8474073007533</v>
      </c>
      <c r="H5" s="52">
        <f>H16</f>
        <v>3720.981201823191</v>
      </c>
      <c r="I5" s="52">
        <f>H5+(H5*C7)</f>
        <v>3348.8830816408718</v>
      </c>
      <c r="J5" s="52">
        <f>J16</f>
        <v>3890.3911350510098</v>
      </c>
      <c r="K5" s="52">
        <f>J5+(J5*C7)</f>
        <v>3501.3520215459089</v>
      </c>
      <c r="L5" s="52">
        <f>L16</f>
        <v>4068.5018547934696</v>
      </c>
    </row>
    <row r="6" spans="1:16" x14ac:dyDescent="0.55000000000000004"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6" x14ac:dyDescent="0.55000000000000004">
      <c r="B7" s="53" t="s">
        <v>56</v>
      </c>
      <c r="C7" s="58">
        <v>-0.1</v>
      </c>
      <c r="D7" s="26"/>
      <c r="E7" s="26"/>
      <c r="F7" s="26"/>
      <c r="G7" s="26"/>
      <c r="H7" s="26"/>
      <c r="I7" s="26"/>
      <c r="J7" s="26"/>
      <c r="K7" s="26"/>
      <c r="L7" s="26"/>
    </row>
    <row r="8" spans="1:16" x14ac:dyDescent="0.55000000000000004">
      <c r="B8" s="65" t="s">
        <v>65</v>
      </c>
      <c r="C8" s="66">
        <f>'Growth Formula'!L22</f>
        <v>7.2933725027113899E-2</v>
      </c>
      <c r="D8" s="89" t="s">
        <v>58</v>
      </c>
      <c r="E8" s="90"/>
      <c r="F8" s="90"/>
      <c r="G8" s="69"/>
      <c r="H8" s="26"/>
      <c r="I8" s="26"/>
      <c r="J8" s="26"/>
      <c r="K8" s="26"/>
      <c r="L8" s="26"/>
    </row>
    <row r="9" spans="1:16" x14ac:dyDescent="0.55000000000000004">
      <c r="B9" s="67" t="s">
        <v>57</v>
      </c>
      <c r="C9" s="68">
        <f>'Growth Formula'!L19</f>
        <v>1.7585184142187182E-2</v>
      </c>
      <c r="D9" s="87"/>
      <c r="E9" s="87"/>
      <c r="F9" s="87"/>
      <c r="G9" s="87"/>
      <c r="H9" s="26"/>
      <c r="I9" s="26"/>
      <c r="J9" s="26"/>
      <c r="K9" s="26"/>
      <c r="L9" s="26"/>
    </row>
    <row r="10" spans="1:16" x14ac:dyDescent="0.55000000000000004">
      <c r="B10" s="67" t="s">
        <v>59</v>
      </c>
      <c r="C10" s="68">
        <f>'Growth Formula'!L20</f>
        <v>7.2827027480166725E-4</v>
      </c>
      <c r="D10" s="87"/>
      <c r="E10" s="87"/>
      <c r="F10" s="87"/>
      <c r="G10" s="87"/>
      <c r="H10" s="26"/>
      <c r="I10" s="26"/>
      <c r="J10" s="26"/>
      <c r="K10" s="26"/>
      <c r="L10" s="26"/>
    </row>
    <row r="11" spans="1:16" x14ac:dyDescent="0.55000000000000004">
      <c r="B11" s="67" t="s">
        <v>60</v>
      </c>
      <c r="C11" s="68">
        <f>'Growth Formula'!L21</f>
        <v>5.4620270610125046E-2</v>
      </c>
      <c r="D11" s="26"/>
      <c r="E11" s="26"/>
      <c r="F11" s="26"/>
      <c r="G11" s="26"/>
      <c r="H11" s="26"/>
      <c r="I11" s="26"/>
      <c r="J11" s="26"/>
      <c r="K11" s="26"/>
      <c r="L11" s="26"/>
    </row>
    <row r="12" spans="1:16" x14ac:dyDescent="0.55000000000000004">
      <c r="B12" s="59" t="s">
        <v>64</v>
      </c>
      <c r="C12" s="56" t="s">
        <v>47</v>
      </c>
      <c r="D12" s="56" t="s">
        <v>42</v>
      </c>
      <c r="E12" s="56" t="s">
        <v>48</v>
      </c>
      <c r="F12" s="56" t="s">
        <v>49</v>
      </c>
      <c r="G12" s="56" t="s">
        <v>50</v>
      </c>
      <c r="H12" s="56" t="s">
        <v>51</v>
      </c>
      <c r="I12" s="56" t="s">
        <v>61</v>
      </c>
      <c r="J12" s="56" t="s">
        <v>53</v>
      </c>
      <c r="K12" s="56" t="s">
        <v>54</v>
      </c>
      <c r="L12" s="56" t="s">
        <v>55</v>
      </c>
    </row>
    <row r="13" spans="1:16" x14ac:dyDescent="0.55000000000000004">
      <c r="A13" s="60" t="s">
        <v>62</v>
      </c>
      <c r="B13" s="58">
        <v>0.24</v>
      </c>
      <c r="C13" s="61">
        <f>$C$5*B13</f>
        <v>726.83999999999992</v>
      </c>
      <c r="D13" s="61">
        <v>816.45</v>
      </c>
      <c r="E13" s="61">
        <f>$E$5*B13</f>
        <v>735.80832000000009</v>
      </c>
      <c r="F13" s="61">
        <f>D13+(D13*C9)</f>
        <v>830.80742359288877</v>
      </c>
      <c r="G13" s="61">
        <f>$G$5*B13</f>
        <v>768.92337775218073</v>
      </c>
      <c r="H13" s="61">
        <f>F13+(F13*C9)</f>
        <v>845.41732512346584</v>
      </c>
      <c r="I13" s="61">
        <f>$I$5*B13</f>
        <v>803.73193959380922</v>
      </c>
      <c r="J13" s="61">
        <f>H13+(H13*C9)</f>
        <v>860.28414446275735</v>
      </c>
      <c r="K13" s="61">
        <f>$K$5*B13</f>
        <v>840.32448517101807</v>
      </c>
      <c r="L13" s="61">
        <f>+J13+(J13*C9)</f>
        <v>875.41239955773892</v>
      </c>
      <c r="M13" s="62" t="s">
        <v>1</v>
      </c>
    </row>
    <row r="14" spans="1:16" x14ac:dyDescent="0.55000000000000004">
      <c r="A14" s="60" t="s">
        <v>35</v>
      </c>
      <c r="B14" s="58">
        <v>0.01</v>
      </c>
      <c r="C14" s="63">
        <f t="shared" ref="C14:C15" si="0">$C$5*B14</f>
        <v>30.285</v>
      </c>
      <c r="D14" s="63">
        <v>46.71</v>
      </c>
      <c r="E14" s="63">
        <f t="shared" ref="E14:E15" si="1">$E$5*B14</f>
        <v>30.658680000000004</v>
      </c>
      <c r="F14" s="63">
        <f t="shared" ref="F14:F15" si="2">D14+(D14*C10)</f>
        <v>46.744017504535989</v>
      </c>
      <c r="G14" s="63">
        <f t="shared" ref="G14:G15" si="3">$G$5*B14</f>
        <v>32.038474073007535</v>
      </c>
      <c r="H14" s="63">
        <f t="shared" ref="H14:H15" si="4">F14+(F14*C10)</f>
        <v>46.778059783009354</v>
      </c>
      <c r="I14" s="63">
        <f t="shared" ref="I14:I15" si="5">$I$5*B14</f>
        <v>33.488830816408715</v>
      </c>
      <c r="J14" s="63">
        <f t="shared" ref="J14:J15" si="6">H14+(H14*C10)</f>
        <v>46.812126853462217</v>
      </c>
      <c r="K14" s="63">
        <f t="shared" ref="K14:K15" si="7">$K$5*B14</f>
        <v>35.013520215459089</v>
      </c>
      <c r="L14" s="63">
        <f t="shared" ref="L14:L15" si="8">+J14+(J14*C10)</f>
        <v>46.84621873394984</v>
      </c>
      <c r="M14" s="88" t="s">
        <v>43</v>
      </c>
    </row>
    <row r="15" spans="1:16" x14ac:dyDescent="0.55000000000000004">
      <c r="A15" s="60" t="s">
        <v>36</v>
      </c>
      <c r="B15" s="58">
        <v>0.75</v>
      </c>
      <c r="C15" s="63">
        <f t="shared" si="0"/>
        <v>2271.375</v>
      </c>
      <c r="D15" s="63">
        <v>2543.36</v>
      </c>
      <c r="E15" s="63">
        <f t="shared" si="1"/>
        <v>2299.4010000000003</v>
      </c>
      <c r="F15" s="63">
        <f t="shared" si="2"/>
        <v>2682.2790114589679</v>
      </c>
      <c r="G15" s="63">
        <f t="shared" si="3"/>
        <v>2402.8855554755651</v>
      </c>
      <c r="H15" s="63">
        <f t="shared" si="4"/>
        <v>2828.7858169167157</v>
      </c>
      <c r="I15" s="63">
        <f t="shared" si="5"/>
        <v>2511.6623112306538</v>
      </c>
      <c r="J15" s="63">
        <f t="shared" si="6"/>
        <v>2983.2948637347904</v>
      </c>
      <c r="K15" s="63">
        <f t="shared" si="7"/>
        <v>2626.0140161594318</v>
      </c>
      <c r="L15" s="63">
        <f t="shared" si="8"/>
        <v>3146.2432365017808</v>
      </c>
      <c r="M15" s="88"/>
    </row>
    <row r="16" spans="1:16" x14ac:dyDescent="0.55000000000000004">
      <c r="B16" s="59" t="s">
        <v>63</v>
      </c>
      <c r="C16" s="64">
        <f>SUM(C13:C15)</f>
        <v>3028.5</v>
      </c>
      <c r="D16" s="64">
        <f t="shared" ref="D16:L16" si="9">SUM(D13:D15)</f>
        <v>3406.5200000000004</v>
      </c>
      <c r="E16" s="64">
        <f t="shared" si="9"/>
        <v>3065.8680000000004</v>
      </c>
      <c r="F16" s="64">
        <f t="shared" si="9"/>
        <v>3559.8304525563926</v>
      </c>
      <c r="G16" s="64">
        <f t="shared" si="9"/>
        <v>3203.8474073007533</v>
      </c>
      <c r="H16" s="64">
        <f t="shared" si="9"/>
        <v>3720.981201823191</v>
      </c>
      <c r="I16" s="64">
        <f t="shared" si="9"/>
        <v>3348.8830816408718</v>
      </c>
      <c r="J16" s="64">
        <f t="shared" si="9"/>
        <v>3890.3911350510098</v>
      </c>
      <c r="K16" s="64">
        <f t="shared" si="9"/>
        <v>3501.3520215459089</v>
      </c>
      <c r="L16" s="64">
        <f t="shared" si="9"/>
        <v>4068.5018547934696</v>
      </c>
    </row>
    <row r="17" spans="1:12" x14ac:dyDescent="0.55000000000000004">
      <c r="C17" s="84" t="s">
        <v>67</v>
      </c>
      <c r="D17" s="84"/>
      <c r="E17" s="84" t="s">
        <v>68</v>
      </c>
      <c r="F17" s="84"/>
      <c r="G17" s="84" t="s">
        <v>69</v>
      </c>
      <c r="H17" s="84"/>
      <c r="I17" s="84" t="s">
        <v>70</v>
      </c>
      <c r="J17" s="84"/>
      <c r="K17" s="84" t="s">
        <v>71</v>
      </c>
      <c r="L17" s="84"/>
    </row>
    <row r="22" spans="1:12" x14ac:dyDescent="0.55000000000000004">
      <c r="A22" s="85" t="s">
        <v>74</v>
      </c>
      <c r="B22" s="85"/>
      <c r="C22" s="85"/>
    </row>
  </sheetData>
  <mergeCells count="11">
    <mergeCell ref="I17:J17"/>
    <mergeCell ref="K17:L17"/>
    <mergeCell ref="A22:C22"/>
    <mergeCell ref="A1:M1"/>
    <mergeCell ref="C17:D17"/>
    <mergeCell ref="E17:F17"/>
    <mergeCell ref="G17:H17"/>
    <mergeCell ref="D9:G9"/>
    <mergeCell ref="D10:G10"/>
    <mergeCell ref="M14:M15"/>
    <mergeCell ref="D8:F8"/>
  </mergeCells>
  <phoneticPr fontId="11" type="noConversion"/>
  <hyperlinks>
    <hyperlink ref="A22:C22" location="'Growth Formula'!A1" display="GO BACK TO MAIN GROWTH FUNDING DATA" xr:uid="{6341C093-BB3F-4D9E-A012-F5E0B03B56E8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1411FE64D55F4D97F63395525C7733" ma:contentTypeVersion="4" ma:contentTypeDescription="Create a new document." ma:contentTypeScope="" ma:versionID="edd618a8fe973ec5ba1a503d0748a957">
  <xsd:schema xmlns:xsd="http://www.w3.org/2001/XMLSchema" xmlns:xs="http://www.w3.org/2001/XMLSchema" xmlns:p="http://schemas.microsoft.com/office/2006/metadata/properties" xmlns:ns2="0d44fb44-411e-40d3-bce8-7d247c88e478" targetNamespace="http://schemas.microsoft.com/office/2006/metadata/properties" ma:root="true" ma:fieldsID="426f10ba6667feafe5f58345461a22b3" ns2:_="">
    <xsd:import namespace="0d44fb44-411e-40d3-bce8-7d247c88e4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4fb44-411e-40d3-bce8-7d247c88e4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72D256-2657-4D43-BC5D-8E91CC69D3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4fb44-411e-40d3-bce8-7d247c88e4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FDEB5A-6800-47F0-B072-4ACF4EDCFB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A6190B-97A7-4F92-B3AE-1668EEA13FFB}">
  <ds:schemaRefs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0d44fb44-411e-40d3-bce8-7d247c88e47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Basic Stats</vt:lpstr>
      <vt:lpstr>Growth Formula</vt:lpstr>
      <vt:lpstr>Projections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Beckie Hermansen</dc:creator>
  <cp:lastModifiedBy>Beckie Hermansen</cp:lastModifiedBy>
  <dcterms:created xsi:type="dcterms:W3CDTF">2021-10-30T05:39:36Z</dcterms:created>
  <dcterms:modified xsi:type="dcterms:W3CDTF">2022-01-31T19:47:44Z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0x010100071411FE64D55F4D97F63395525C7733</vt:lpwstr>
  </property>
</Properties>
</file>